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1340" windowHeight="6540" activeTab="0"/>
  </bookViews>
  <sheets>
    <sheet name="Annual Report" sheetId="1" r:id="rId1"/>
    <sheet name="Mortgage" sheetId="2" r:id="rId2"/>
    <sheet name="Escrow Acnts" sheetId="3" r:id="rId3"/>
    <sheet name="Financial History" sheetId="4" r:id="rId4"/>
  </sheets>
  <definedNames/>
  <calcPr fullCalcOnLoad="1"/>
</workbook>
</file>

<file path=xl/sharedStrings.xml><?xml version="1.0" encoding="utf-8"?>
<sst xmlns="http://schemas.openxmlformats.org/spreadsheetml/2006/main" count="86" uniqueCount="75">
  <si>
    <t>Income</t>
  </si>
  <si>
    <t>Q1</t>
  </si>
  <si>
    <t>Q2</t>
  </si>
  <si>
    <t>Q3</t>
  </si>
  <si>
    <t>Q4</t>
  </si>
  <si>
    <t>Cost Share</t>
  </si>
  <si>
    <t>Unspent Maintenance</t>
  </si>
  <si>
    <t>Interest</t>
  </si>
  <si>
    <t>Pass Thru Grants</t>
  </si>
  <si>
    <t>Expenses</t>
  </si>
  <si>
    <t>Annuity</t>
  </si>
  <si>
    <t>Misc.</t>
  </si>
  <si>
    <t>Mortgage Interest</t>
  </si>
  <si>
    <t>Linceses</t>
  </si>
  <si>
    <t>Taxes</t>
  </si>
  <si>
    <t>Insurance</t>
  </si>
  <si>
    <t>BookKeeping</t>
  </si>
  <si>
    <t>Operating</t>
  </si>
  <si>
    <t>Maintenance Loans</t>
  </si>
  <si>
    <t>Maintenance Grants</t>
  </si>
  <si>
    <t>Mortgage Principle</t>
  </si>
  <si>
    <t>Escrow Interest</t>
  </si>
  <si>
    <t>Total</t>
  </si>
  <si>
    <t>Commerce Bank Mortgage</t>
  </si>
  <si>
    <t>Date</t>
  </si>
  <si>
    <t>Principal</t>
  </si>
  <si>
    <t>Payment</t>
  </si>
  <si>
    <t>Balance</t>
  </si>
  <si>
    <t>9/31/99</t>
  </si>
  <si>
    <t>Balance Sheet</t>
  </si>
  <si>
    <t xml:space="preserve">Commerce Bank </t>
  </si>
  <si>
    <t>Available</t>
  </si>
  <si>
    <t>Cash</t>
  </si>
  <si>
    <t>Loans</t>
  </si>
  <si>
    <t>Mariposa</t>
  </si>
  <si>
    <t>Liabilities</t>
  </si>
  <si>
    <t>Mortgage (Com. Bank)</t>
  </si>
  <si>
    <t>Project Home</t>
  </si>
  <si>
    <t>B-Hook</t>
  </si>
  <si>
    <t>Castle Grey Skull</t>
  </si>
  <si>
    <t>Kent Larabee</t>
  </si>
  <si>
    <t>Total Escrow</t>
  </si>
  <si>
    <t>Total Escrow Interest</t>
  </si>
  <si>
    <t>Assets</t>
  </si>
  <si>
    <t>6/31/2000</t>
  </si>
  <si>
    <t>4951-3 Catherine St.</t>
  </si>
  <si>
    <t>NET</t>
  </si>
  <si>
    <t>Kent's Annuity</t>
  </si>
  <si>
    <t>PFCU (escrow)</t>
  </si>
  <si>
    <t>this is the amount they claim we owe?</t>
  </si>
  <si>
    <t>Year</t>
  </si>
  <si>
    <t>Cash Gain</t>
  </si>
  <si>
    <t>01-02 Budget</t>
  </si>
  <si>
    <t>LCA Financial Report (01-02)</t>
  </si>
  <si>
    <t>01-02 Total</t>
  </si>
  <si>
    <t>6/31/2001</t>
  </si>
  <si>
    <t>6/31/2002</t>
  </si>
  <si>
    <t>red colored numbers indicate that I don't have the statement for these payments</t>
  </si>
  <si>
    <t>02-03 Budget</t>
  </si>
  <si>
    <t>Ailanthus</t>
  </si>
  <si>
    <t>Percolator</t>
  </si>
  <si>
    <t>Jubilee</t>
  </si>
  <si>
    <t>Vortex</t>
  </si>
  <si>
    <t>4951 Catherine St</t>
  </si>
  <si>
    <t>Bob Massey</t>
  </si>
  <si>
    <t>Sept and Oct Cost Share and 2001-02 Final Quarterly Report</t>
  </si>
  <si>
    <t>All paid up</t>
  </si>
  <si>
    <t>$400 from underpaying cost share</t>
  </si>
  <si>
    <t>All paid up but owe 2001-02 Final Quarterly Report</t>
  </si>
  <si>
    <t>Oct Cost Share, $2838 Unspent Maintenance (00-01), and 2001-02 Final Quarterly Report</t>
  </si>
  <si>
    <t>Owes $657.68 (Origanally owed the money to Percolator)</t>
  </si>
  <si>
    <t>and 2001-02 Final Quarterly Report</t>
  </si>
  <si>
    <t>July, Aug, Sept, and Oct Cost Share, $12 bounced check fee, $299 Unspent Maintenance (00-01),</t>
  </si>
  <si>
    <t>Proposed</t>
  </si>
  <si>
    <t>Who owes What (as of 10/21/02)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</si>
</sst>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,\ yyyy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4" fontId="0" fillId="2" borderId="2" xfId="0" applyNumberFormat="1" applyFill="1" applyBorder="1" applyAlignment="1">
      <alignment/>
    </xf>
    <xf numFmtId="14" fontId="0" fillId="2" borderId="0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  <xf numFmtId="9" fontId="0" fillId="2" borderId="0" xfId="2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4" fontId="0" fillId="0" borderId="3" xfId="17" applyFont="1" applyBorder="1" applyAlignment="1">
      <alignment/>
    </xf>
    <xf numFmtId="44" fontId="0" fillId="0" borderId="3" xfId="17" applyBorder="1" applyAlignment="1">
      <alignment/>
    </xf>
    <xf numFmtId="44" fontId="0" fillId="0" borderId="4" xfId="17" applyBorder="1" applyAlignment="1">
      <alignment/>
    </xf>
    <xf numFmtId="0" fontId="0" fillId="0" borderId="5" xfId="0" applyBorder="1" applyAlignment="1">
      <alignment/>
    </xf>
    <xf numFmtId="44" fontId="0" fillId="0" borderId="6" xfId="17" applyFont="1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0" fontId="0" fillId="3" borderId="8" xfId="0" applyFill="1" applyBorder="1" applyAlignment="1">
      <alignment/>
    </xf>
    <xf numFmtId="44" fontId="0" fillId="3" borderId="8" xfId="17" applyFill="1" applyBorder="1" applyAlignment="1">
      <alignment/>
    </xf>
    <xf numFmtId="44" fontId="0" fillId="3" borderId="9" xfId="17" applyFill="1" applyBorder="1" applyAlignment="1">
      <alignment/>
    </xf>
    <xf numFmtId="44" fontId="0" fillId="3" borderId="10" xfId="0" applyNumberFormat="1" applyFill="1" applyBorder="1" applyAlignment="1">
      <alignment/>
    </xf>
    <xf numFmtId="44" fontId="0" fillId="3" borderId="11" xfId="0" applyNumberFormat="1" applyFill="1" applyBorder="1" applyAlignment="1">
      <alignment/>
    </xf>
    <xf numFmtId="0" fontId="0" fillId="0" borderId="12" xfId="0" applyBorder="1" applyAlignment="1">
      <alignment/>
    </xf>
    <xf numFmtId="44" fontId="0" fillId="0" borderId="13" xfId="17" applyBorder="1" applyAlignment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0" fillId="0" borderId="16" xfId="17" applyBorder="1" applyAlignment="1">
      <alignment/>
    </xf>
    <xf numFmtId="0" fontId="1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" borderId="31" xfId="0" applyFill="1" applyBorder="1" applyAlignment="1">
      <alignment/>
    </xf>
    <xf numFmtId="0" fontId="0" fillId="0" borderId="32" xfId="0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4" fontId="0" fillId="0" borderId="13" xfId="17" applyFont="1" applyBorder="1" applyAlignment="1">
      <alignment/>
    </xf>
    <xf numFmtId="44" fontId="2" fillId="0" borderId="0" xfId="17" applyFont="1" applyAlignment="1">
      <alignment/>
    </xf>
    <xf numFmtId="44" fontId="0" fillId="0" borderId="0" xfId="17" applyFont="1" applyAlignment="1">
      <alignment/>
    </xf>
    <xf numFmtId="44" fontId="0" fillId="4" borderId="9" xfId="17" applyFill="1" applyBorder="1" applyAlignment="1">
      <alignment/>
    </xf>
    <xf numFmtId="44" fontId="0" fillId="4" borderId="11" xfId="0" applyNumberFormat="1" applyFill="1" applyBorder="1" applyAlignment="1">
      <alignment/>
    </xf>
    <xf numFmtId="44" fontId="0" fillId="5" borderId="7" xfId="17" applyFill="1" applyBorder="1" applyAlignment="1">
      <alignment/>
    </xf>
    <xf numFmtId="44" fontId="0" fillId="5" borderId="4" xfId="17" applyFill="1" applyBorder="1" applyAlignment="1">
      <alignment/>
    </xf>
    <xf numFmtId="44" fontId="0" fillId="5" borderId="4" xfId="17" applyFont="1" applyFill="1" applyBorder="1" applyAlignment="1">
      <alignment/>
    </xf>
    <xf numFmtId="0" fontId="0" fillId="3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4" fontId="0" fillId="0" borderId="0" xfId="17" applyFont="1" applyBorder="1" applyAlignment="1">
      <alignment/>
    </xf>
    <xf numFmtId="44" fontId="0" fillId="0" borderId="0" xfId="17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/>
    </xf>
    <xf numFmtId="44" fontId="0" fillId="0" borderId="0" xfId="17" applyFont="1" applyBorder="1" applyAlignment="1">
      <alignment horizontal="left"/>
    </xf>
    <xf numFmtId="6" fontId="0" fillId="0" borderId="0" xfId="17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Alignment="1">
      <alignment/>
    </xf>
    <xf numFmtId="0" fontId="0" fillId="4" borderId="47" xfId="0" applyFill="1" applyBorder="1" applyAlignment="1">
      <alignment horizontal="center"/>
    </xf>
    <xf numFmtId="0" fontId="0" fillId="4" borderId="4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Financial History</a:t>
            </a:r>
          </a:p>
        </c:rich>
      </c:tx>
      <c:layout>
        <c:manualLayout>
          <c:xMode val="factor"/>
          <c:yMode val="factor"/>
          <c:x val="-0.0187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525"/>
          <c:w val="0.766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History'!$B$3</c:f>
              <c:strCache>
                <c:ptCount val="1"/>
                <c:pt idx="0">
                  <c:v>Cash Gain</c:v>
                </c:pt>
              </c:strCache>
            </c:strRef>
          </c:tx>
          <c:spPr>
            <a:solidFill>
              <a:srgbClr val="00008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'Financial History'!$A$4:$A$8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'Financial History'!$B$4:$B$8</c:f>
              <c:numCache>
                <c:ptCount val="5"/>
                <c:pt idx="0">
                  <c:v>18883</c:v>
                </c:pt>
                <c:pt idx="1">
                  <c:v>-11397.36</c:v>
                </c:pt>
                <c:pt idx="2">
                  <c:v>-5796.48</c:v>
                </c:pt>
                <c:pt idx="3">
                  <c:v>-9386.289740654662</c:v>
                </c:pt>
                <c:pt idx="4">
                  <c:v>11050.88</c:v>
                </c:pt>
              </c:numCache>
            </c:numRef>
          </c:val>
        </c:ser>
        <c:axId val="21523971"/>
        <c:axId val="59498012"/>
      </c:barChart>
      <c:catAx>
        <c:axId val="215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98012"/>
        <c:crosses val="autoZero"/>
        <c:auto val="1"/>
        <c:lblOffset val="100"/>
        <c:noMultiLvlLbl val="0"/>
      </c:catAx>
      <c:valAx>
        <c:axId val="59498012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152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History'!$B$3</c:f>
              <c:strCache>
                <c:ptCount val="1"/>
                <c:pt idx="0">
                  <c:v>Cash Gain</c:v>
                </c:pt>
              </c:strCache>
            </c:strRef>
          </c:tx>
          <c:spPr>
            <a:solidFill>
              <a:srgbClr val="00008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'Financial History'!$A$4:$A$8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'Financial History'!$B$4:$B$8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720061"/>
        <c:axId val="54609638"/>
      </c:barChart>
      <c:catAx>
        <c:axId val="6572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09638"/>
        <c:crosses val="autoZero"/>
        <c:auto val="1"/>
        <c:lblOffset val="100"/>
        <c:noMultiLvlLbl val="0"/>
      </c:catAx>
      <c:valAx>
        <c:axId val="54609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20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29</xdr:row>
      <xdr:rowOff>123825</xdr:rowOff>
    </xdr:from>
    <xdr:to>
      <xdr:col>8</xdr:col>
      <xdr:colOff>733425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2752725" y="5038725"/>
        <a:ext cx="44005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8</xdr:row>
      <xdr:rowOff>142875</xdr:rowOff>
    </xdr:from>
    <xdr:to>
      <xdr:col>11</xdr:col>
      <xdr:colOff>123825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2333625" y="1438275"/>
        <a:ext cx="46767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workbookViewId="0" topLeftCell="A33">
      <selection activeCell="I1" sqref="I1"/>
    </sheetView>
  </sheetViews>
  <sheetFormatPr defaultColWidth="9.140625" defaultRowHeight="12.75"/>
  <cols>
    <col min="1" max="1" width="6.57421875" style="0" customWidth="1"/>
    <col min="2" max="2" width="19.140625" style="0" customWidth="1"/>
    <col min="3" max="3" width="11.28125" style="0" bestFit="1" customWidth="1"/>
    <col min="4" max="6" width="11.8515625" style="0" bestFit="1" customWidth="1"/>
    <col min="7" max="7" width="11.7109375" style="0" customWidth="1"/>
    <col min="8" max="9" width="12.00390625" style="0" customWidth="1"/>
    <col min="10" max="10" width="10.8515625" style="0" bestFit="1" customWidth="1"/>
  </cols>
  <sheetData>
    <row r="1" ht="20.25">
      <c r="C1" s="66" t="s">
        <v>53</v>
      </c>
    </row>
    <row r="2" ht="13.5" customHeight="1" thickBot="1">
      <c r="C2" s="66"/>
    </row>
    <row r="3" spans="2:9" ht="13.5" customHeight="1" thickBot="1">
      <c r="B3" s="10"/>
      <c r="I3" s="81" t="s">
        <v>73</v>
      </c>
    </row>
    <row r="4" spans="1:9" ht="13.5" customHeight="1" thickBot="1">
      <c r="A4" s="49" t="s">
        <v>0</v>
      </c>
      <c r="B4" s="46"/>
      <c r="C4" s="19" t="s">
        <v>1</v>
      </c>
      <c r="D4" s="19" t="s">
        <v>2</v>
      </c>
      <c r="E4" s="19" t="s">
        <v>3</v>
      </c>
      <c r="F4" s="19" t="s">
        <v>4</v>
      </c>
      <c r="G4" s="19" t="s">
        <v>54</v>
      </c>
      <c r="H4" s="63" t="s">
        <v>52</v>
      </c>
      <c r="I4" s="82" t="s">
        <v>58</v>
      </c>
    </row>
    <row r="5" spans="1:10" ht="12.75">
      <c r="A5" s="50" t="s">
        <v>5</v>
      </c>
      <c r="B5" s="47"/>
      <c r="C5" s="16">
        <v>15168</v>
      </c>
      <c r="D5" s="17">
        <v>10560</v>
      </c>
      <c r="E5" s="17">
        <v>20440</v>
      </c>
      <c r="F5" s="17">
        <v>16280</v>
      </c>
      <c r="G5" s="17">
        <f>SUM(C5:F5)</f>
        <v>62448</v>
      </c>
      <c r="H5" s="18">
        <f>790*9*5+410*12+690*12+690*3*5+7030+480</f>
        <v>66610</v>
      </c>
      <c r="I5" s="60">
        <f>790*12*6+510*12+790*5</f>
        <v>66950</v>
      </c>
      <c r="J5" s="2"/>
    </row>
    <row r="6" spans="1:9" ht="12.75">
      <c r="A6" s="51" t="s">
        <v>6</v>
      </c>
      <c r="B6" s="15"/>
      <c r="C6" s="13">
        <v>3230.36</v>
      </c>
      <c r="D6" s="13">
        <v>0</v>
      </c>
      <c r="E6" s="13">
        <v>0</v>
      </c>
      <c r="F6" s="13">
        <v>0</v>
      </c>
      <c r="G6" s="13">
        <f>SUM(C6:F6)</f>
        <v>3230.36</v>
      </c>
      <c r="H6" s="14">
        <v>1000</v>
      </c>
      <c r="I6" s="61">
        <v>3500</v>
      </c>
    </row>
    <row r="7" spans="1:9" ht="12.75">
      <c r="A7" s="51" t="s">
        <v>7</v>
      </c>
      <c r="B7" s="15"/>
      <c r="C7" s="12">
        <f>36.74+40.35</f>
        <v>77.09</v>
      </c>
      <c r="D7" s="12">
        <f>79.94+(4.67+4.23+4.69+8.98+8.12+9.01)</f>
        <v>119.63999999999999</v>
      </c>
      <c r="E7" s="12">
        <f>66.7+4.54+4.7+4.56+8.74+9.05+8.78</f>
        <v>107.07000000000001</v>
      </c>
      <c r="F7" s="13">
        <f>53.64+4.27+4.73+4.58+9.09+8.29+8.04</f>
        <v>92.63999999999999</v>
      </c>
      <c r="G7" s="13">
        <f>SUM(C7:F7)</f>
        <v>396.44</v>
      </c>
      <c r="H7" s="14">
        <v>500</v>
      </c>
      <c r="I7" s="61">
        <v>400</v>
      </c>
    </row>
    <row r="8" spans="1:9" ht="12.75">
      <c r="A8" s="51" t="s">
        <v>8</v>
      </c>
      <c r="B8" s="15"/>
      <c r="C8" s="13">
        <v>0</v>
      </c>
      <c r="D8" s="13">
        <v>0</v>
      </c>
      <c r="E8" s="13">
        <v>0</v>
      </c>
      <c r="F8" s="13">
        <v>0</v>
      </c>
      <c r="G8" s="13">
        <f>SUM(C8:F8)</f>
        <v>0</v>
      </c>
      <c r="H8" s="14">
        <v>0</v>
      </c>
      <c r="I8" s="61">
        <v>0</v>
      </c>
    </row>
    <row r="9" spans="1:9" ht="13.5" thickBot="1">
      <c r="A9" s="51" t="s">
        <v>11</v>
      </c>
      <c r="B9" s="15"/>
      <c r="C9" s="12">
        <v>300</v>
      </c>
      <c r="D9" s="12">
        <v>200</v>
      </c>
      <c r="E9" s="13">
        <v>900</v>
      </c>
      <c r="F9" s="13">
        <v>800</v>
      </c>
      <c r="G9" s="13">
        <f>SUM(C9:F9)</f>
        <v>2200</v>
      </c>
      <c r="H9" s="14">
        <v>3200</v>
      </c>
      <c r="I9" s="61">
        <v>3200</v>
      </c>
    </row>
    <row r="10" spans="1:9" ht="13.5" thickBot="1">
      <c r="A10" s="49" t="s">
        <v>22</v>
      </c>
      <c r="B10" s="46"/>
      <c r="C10" s="20">
        <f aca="true" t="shared" si="0" ref="C10:I10">SUM(C5:C9)</f>
        <v>18775.45</v>
      </c>
      <c r="D10" s="20">
        <f t="shared" si="0"/>
        <v>10879.64</v>
      </c>
      <c r="E10" s="20">
        <f t="shared" si="0"/>
        <v>21447.07</v>
      </c>
      <c r="F10" s="20">
        <f t="shared" si="0"/>
        <v>17172.64</v>
      </c>
      <c r="G10" s="20">
        <f t="shared" si="0"/>
        <v>68274.8</v>
      </c>
      <c r="H10" s="21">
        <f t="shared" si="0"/>
        <v>71310</v>
      </c>
      <c r="I10" s="58">
        <f t="shared" si="0"/>
        <v>74050</v>
      </c>
    </row>
    <row r="11" spans="2:10" ht="13.5" thickBot="1">
      <c r="B11" s="10"/>
      <c r="C11" s="1"/>
      <c r="D11" s="1"/>
      <c r="E11" s="1"/>
      <c r="F11" s="1"/>
      <c r="G11" s="1"/>
      <c r="H11" s="1"/>
      <c r="I11" s="1"/>
      <c r="J11" s="2"/>
    </row>
    <row r="12" spans="1:9" ht="13.5" thickBot="1">
      <c r="A12" s="49" t="s">
        <v>9</v>
      </c>
      <c r="B12" s="46"/>
      <c r="C12" s="19" t="str">
        <f aca="true" t="shared" si="1" ref="C12:I12">C4</f>
        <v>Q1</v>
      </c>
      <c r="D12" s="19" t="str">
        <f t="shared" si="1"/>
        <v>Q2</v>
      </c>
      <c r="E12" s="19" t="str">
        <f t="shared" si="1"/>
        <v>Q3</v>
      </c>
      <c r="F12" s="19" t="str">
        <f t="shared" si="1"/>
        <v>Q4</v>
      </c>
      <c r="G12" s="19" t="str">
        <f t="shared" si="1"/>
        <v>01-02 Total</v>
      </c>
      <c r="H12" s="63" t="str">
        <f t="shared" si="1"/>
        <v>01-02 Budget</v>
      </c>
      <c r="I12" s="64" t="str">
        <f t="shared" si="1"/>
        <v>02-03 Budget</v>
      </c>
    </row>
    <row r="13" spans="1:9" ht="12.75">
      <c r="A13" s="50" t="s">
        <v>10</v>
      </c>
      <c r="B13" s="47"/>
      <c r="C13" s="17">
        <v>1230</v>
      </c>
      <c r="D13" s="17">
        <v>1230</v>
      </c>
      <c r="E13" s="17">
        <v>1230</v>
      </c>
      <c r="F13" s="17">
        <v>1230</v>
      </c>
      <c r="G13" s="17">
        <f aca="true" t="shared" si="2" ref="G13:G25">SUM(C13:F13)</f>
        <v>4920</v>
      </c>
      <c r="H13" s="18">
        <v>4920</v>
      </c>
      <c r="I13" s="60">
        <v>4920</v>
      </c>
    </row>
    <row r="14" spans="1:9" ht="12.75">
      <c r="A14" s="51" t="s">
        <v>12</v>
      </c>
      <c r="B14" s="15"/>
      <c r="C14" s="13">
        <f>Mortgage!C56</f>
        <v>859.09</v>
      </c>
      <c r="D14" s="12">
        <f>Mortgage!C62</f>
        <v>828.53</v>
      </c>
      <c r="E14" s="12">
        <f>Mortgage!C68</f>
        <v>850.69</v>
      </c>
      <c r="F14" s="12">
        <f>Mortgage!C74</f>
        <v>827.01</v>
      </c>
      <c r="G14" s="13">
        <f t="shared" si="2"/>
        <v>3365.3199999999997</v>
      </c>
      <c r="H14" s="14">
        <v>4422.080000000005</v>
      </c>
      <c r="I14" s="61">
        <v>3047.1</v>
      </c>
    </row>
    <row r="15" spans="1:9" ht="12.75">
      <c r="A15" s="51" t="s">
        <v>20</v>
      </c>
      <c r="B15" s="15"/>
      <c r="C15" s="13">
        <f>Mortgage!B56</f>
        <v>664.46</v>
      </c>
      <c r="D15" s="13">
        <f>Mortgage!B62</f>
        <v>695.02</v>
      </c>
      <c r="E15" s="13">
        <f>Mortgage!B68</f>
        <v>672.86</v>
      </c>
      <c r="F15" s="13">
        <f>Mortgage!B74</f>
        <v>696.54</v>
      </c>
      <c r="G15" s="13">
        <f t="shared" si="2"/>
        <v>2728.88</v>
      </c>
      <c r="H15" s="14">
        <v>2093.2</v>
      </c>
      <c r="I15" s="61">
        <v>3047.1</v>
      </c>
    </row>
    <row r="16" spans="1:9" ht="12.75">
      <c r="A16" s="51" t="s">
        <v>13</v>
      </c>
      <c r="B16" s="15"/>
      <c r="C16" s="13">
        <v>0</v>
      </c>
      <c r="D16" s="13">
        <v>25</v>
      </c>
      <c r="E16" s="13">
        <v>79.5</v>
      </c>
      <c r="F16" s="13">
        <v>0</v>
      </c>
      <c r="G16" s="13">
        <f t="shared" si="2"/>
        <v>104.5</v>
      </c>
      <c r="H16" s="14">
        <v>100</v>
      </c>
      <c r="I16" s="61">
        <v>100</v>
      </c>
    </row>
    <row r="17" spans="1:9" ht="12.75">
      <c r="A17" s="51" t="s">
        <v>14</v>
      </c>
      <c r="B17" s="15"/>
      <c r="C17" s="13">
        <v>0</v>
      </c>
      <c r="D17" s="13">
        <v>10807.19</v>
      </c>
      <c r="E17" s="13">
        <v>0</v>
      </c>
      <c r="F17" s="13">
        <v>0</v>
      </c>
      <c r="G17" s="13">
        <f t="shared" si="2"/>
        <v>10807.19</v>
      </c>
      <c r="H17" s="14">
        <v>10900</v>
      </c>
      <c r="I17" s="62">
        <f>10900+300*7</f>
        <v>13000</v>
      </c>
    </row>
    <row r="18" spans="1:9" ht="12.75">
      <c r="A18" s="51" t="s">
        <v>15</v>
      </c>
      <c r="B18" s="15"/>
      <c r="C18" s="13">
        <v>4136.88</v>
      </c>
      <c r="D18" s="13">
        <v>4136.88</v>
      </c>
      <c r="E18" s="13">
        <v>5239.47</v>
      </c>
      <c r="F18" s="13">
        <f>3*1739.17</f>
        <v>5217.51</v>
      </c>
      <c r="G18" s="13">
        <f t="shared" si="2"/>
        <v>18730.739999999998</v>
      </c>
      <c r="H18" s="14">
        <v>16500</v>
      </c>
      <c r="I18" s="61">
        <v>21000</v>
      </c>
    </row>
    <row r="19" spans="1:9" ht="12.75">
      <c r="A19" s="51" t="s">
        <v>16</v>
      </c>
      <c r="B19" s="15"/>
      <c r="C19" s="12">
        <v>0</v>
      </c>
      <c r="D19" s="13">
        <v>547.5</v>
      </c>
      <c r="E19" s="13">
        <v>0</v>
      </c>
      <c r="F19" s="13">
        <v>0</v>
      </c>
      <c r="G19" s="13">
        <f t="shared" si="2"/>
        <v>547.5</v>
      </c>
      <c r="H19" s="14">
        <v>800</v>
      </c>
      <c r="I19" s="61">
        <v>800</v>
      </c>
    </row>
    <row r="20" spans="1:9" ht="12.75">
      <c r="A20" s="51" t="s">
        <v>17</v>
      </c>
      <c r="B20" s="15"/>
      <c r="C20" s="13">
        <v>30</v>
      </c>
      <c r="D20" s="13">
        <v>0</v>
      </c>
      <c r="E20" s="13">
        <v>0</v>
      </c>
      <c r="F20" s="13">
        <v>0</v>
      </c>
      <c r="G20" s="13">
        <f t="shared" si="2"/>
        <v>30</v>
      </c>
      <c r="H20" s="14">
        <v>500</v>
      </c>
      <c r="I20" s="61">
        <v>500</v>
      </c>
    </row>
    <row r="21" spans="1:9" ht="12.75">
      <c r="A21" s="51" t="s">
        <v>11</v>
      </c>
      <c r="B21" s="15"/>
      <c r="C21" s="13">
        <v>0</v>
      </c>
      <c r="D21" s="13">
        <v>0</v>
      </c>
      <c r="E21" s="12">
        <v>0</v>
      </c>
      <c r="F21" s="13">
        <v>0</v>
      </c>
      <c r="G21" s="13">
        <f t="shared" si="2"/>
        <v>0</v>
      </c>
      <c r="H21" s="14">
        <v>1000</v>
      </c>
      <c r="I21" s="61">
        <v>5000</v>
      </c>
    </row>
    <row r="22" spans="1:9" ht="12.75">
      <c r="A22" s="51" t="s">
        <v>19</v>
      </c>
      <c r="B22" s="15"/>
      <c r="C22" s="13">
        <v>0</v>
      </c>
      <c r="D22" s="13">
        <v>0</v>
      </c>
      <c r="E22" s="13">
        <v>12900</v>
      </c>
      <c r="F22" s="13">
        <v>3000</v>
      </c>
      <c r="G22" s="13">
        <f t="shared" si="2"/>
        <v>15900</v>
      </c>
      <c r="H22" s="14">
        <v>25000</v>
      </c>
      <c r="I22" s="61">
        <v>20000</v>
      </c>
    </row>
    <row r="23" spans="1:9" ht="12.75">
      <c r="A23" s="51" t="s">
        <v>18</v>
      </c>
      <c r="B23" s="15"/>
      <c r="C23" s="13">
        <v>0</v>
      </c>
      <c r="D23" s="13">
        <v>0</v>
      </c>
      <c r="E23" s="13">
        <v>0</v>
      </c>
      <c r="F23" s="13">
        <v>0</v>
      </c>
      <c r="G23" s="13">
        <f t="shared" si="2"/>
        <v>0</v>
      </c>
      <c r="H23" s="14">
        <v>0</v>
      </c>
      <c r="I23" s="61">
        <v>0</v>
      </c>
    </row>
    <row r="24" spans="1:9" ht="12.75">
      <c r="A24" s="51" t="s">
        <v>8</v>
      </c>
      <c r="B24" s="15"/>
      <c r="C24" s="13">
        <v>0</v>
      </c>
      <c r="D24" s="13">
        <v>0</v>
      </c>
      <c r="E24" s="13">
        <v>0</v>
      </c>
      <c r="F24" s="13">
        <v>0</v>
      </c>
      <c r="G24" s="13">
        <f t="shared" si="2"/>
        <v>0</v>
      </c>
      <c r="H24" s="14">
        <v>0</v>
      </c>
      <c r="I24" s="61">
        <v>0</v>
      </c>
    </row>
    <row r="25" spans="1:9" ht="13.5" thickBot="1">
      <c r="A25" s="51" t="s">
        <v>21</v>
      </c>
      <c r="B25" s="15"/>
      <c r="C25" s="13">
        <f>'Escrow Acnts'!$M11/4</f>
        <v>22.4462750372561</v>
      </c>
      <c r="D25" s="13">
        <f>'Escrow Acnts'!$M11/4</f>
        <v>22.4462750372561</v>
      </c>
      <c r="E25" s="13">
        <f>'Escrow Acnts'!$M11/4</f>
        <v>22.4462750372561</v>
      </c>
      <c r="F25" s="13">
        <f>'Escrow Acnts'!$M11/4</f>
        <v>22.4462750372561</v>
      </c>
      <c r="G25" s="13">
        <f t="shared" si="2"/>
        <v>89.7851001490244</v>
      </c>
      <c r="H25" s="14">
        <v>110</v>
      </c>
      <c r="I25" s="61">
        <v>115</v>
      </c>
    </row>
    <row r="26" spans="1:9" ht="13.5" thickBot="1">
      <c r="A26" s="49" t="s">
        <v>22</v>
      </c>
      <c r="B26" s="46"/>
      <c r="C26" s="20">
        <f aca="true" t="shared" si="3" ref="C26:I26">SUM(C13:C25)</f>
        <v>6942.876275037256</v>
      </c>
      <c r="D26" s="20">
        <f t="shared" si="3"/>
        <v>18292.566275037254</v>
      </c>
      <c r="E26" s="20">
        <f t="shared" si="3"/>
        <v>20994.966275037255</v>
      </c>
      <c r="F26" s="20">
        <f t="shared" si="3"/>
        <v>10993.506275037258</v>
      </c>
      <c r="G26" s="20">
        <f t="shared" si="3"/>
        <v>57223.915100149025</v>
      </c>
      <c r="H26" s="21">
        <f t="shared" si="3"/>
        <v>66345.28</v>
      </c>
      <c r="I26" s="58">
        <f t="shared" si="3"/>
        <v>71529.2</v>
      </c>
    </row>
    <row r="27" spans="2:9" ht="13.5" thickBot="1">
      <c r="B27" s="10"/>
      <c r="C27" s="1"/>
      <c r="D27" s="1"/>
      <c r="E27" s="1"/>
      <c r="F27" s="1"/>
      <c r="G27" s="1"/>
      <c r="H27" s="1"/>
      <c r="I27" s="1"/>
    </row>
    <row r="28" spans="1:9" ht="14.25" thickBot="1" thickTop="1">
      <c r="A28" s="32" t="s">
        <v>46</v>
      </c>
      <c r="B28" s="48"/>
      <c r="C28" s="22">
        <f aca="true" t="shared" si="4" ref="C28:I28">C10-C26</f>
        <v>11832.573724962745</v>
      </c>
      <c r="D28" s="22">
        <f t="shared" si="4"/>
        <v>-7412.9262750372545</v>
      </c>
      <c r="E28" s="22">
        <f t="shared" si="4"/>
        <v>452.1037249627443</v>
      </c>
      <c r="F28" s="22">
        <f t="shared" si="4"/>
        <v>6179.133724962741</v>
      </c>
      <c r="G28" s="22">
        <f t="shared" si="4"/>
        <v>11050.884899850978</v>
      </c>
      <c r="H28" s="23">
        <f t="shared" si="4"/>
        <v>4964.720000000001</v>
      </c>
      <c r="I28" s="59">
        <f t="shared" si="4"/>
        <v>2520.800000000003</v>
      </c>
    </row>
    <row r="29" spans="1:9" s="54" customFormat="1" ht="13.5" thickTop="1">
      <c r="A29" s="52"/>
      <c r="B29" s="52"/>
      <c r="C29" s="53"/>
      <c r="D29" s="53"/>
      <c r="E29" s="53"/>
      <c r="F29" s="53"/>
      <c r="G29" s="53"/>
      <c r="H29" s="53"/>
      <c r="I29" s="53"/>
    </row>
    <row r="30" ht="13.5" thickBot="1"/>
    <row r="31" spans="1:3" ht="14.25" thickBot="1" thickTop="1">
      <c r="A31" s="32"/>
      <c r="B31" s="33" t="s">
        <v>29</v>
      </c>
      <c r="C31" s="34"/>
    </row>
    <row r="32" spans="1:6" ht="13.5" thickTop="1">
      <c r="A32" s="35" t="s">
        <v>43</v>
      </c>
      <c r="B32" s="36"/>
      <c r="C32" s="37"/>
      <c r="E32" s="2"/>
      <c r="F32" s="2">
        <f>G28+SUM(C25:F25)-40.35-(4.67+4.23+4.69+8.98+8.12+9.01)-(4.54+4.7+4.56+8.74+9.05+8.78)-(4.27+4.73+4.58+9.09+8.29+8.04)</f>
        <v>10981.25</v>
      </c>
    </row>
    <row r="33" spans="1:6" ht="12.75">
      <c r="A33" s="24" t="s">
        <v>32</v>
      </c>
      <c r="B33" s="11" t="s">
        <v>30</v>
      </c>
      <c r="C33" s="25">
        <f>18016.64+5438.47</f>
        <v>23455.11</v>
      </c>
      <c r="F33" s="2">
        <f>C33-12473.86</f>
        <v>10981.25</v>
      </c>
    </row>
    <row r="34" spans="1:3" ht="12.75">
      <c r="A34" s="39"/>
      <c r="B34" s="11" t="s">
        <v>48</v>
      </c>
      <c r="C34" s="25">
        <f>2789.84+4352.62</f>
        <v>7142.46</v>
      </c>
    </row>
    <row r="35" spans="1:6" ht="12.75">
      <c r="A35" s="40"/>
      <c r="B35" s="11" t="s">
        <v>22</v>
      </c>
      <c r="C35" s="26">
        <f>C33+C34</f>
        <v>30597.57</v>
      </c>
      <c r="E35" s="2"/>
      <c r="F35" s="2">
        <f>F32-F33</f>
        <v>0</v>
      </c>
    </row>
    <row r="36" spans="1:7" ht="12.75">
      <c r="A36" s="40"/>
      <c r="B36" s="11" t="s">
        <v>31</v>
      </c>
      <c r="C36" s="26">
        <f>C35-'Escrow Acnts'!M10</f>
        <v>24402.499536360017</v>
      </c>
      <c r="G36" s="2"/>
    </row>
    <row r="37" spans="1:3" ht="12.75">
      <c r="A37" s="41"/>
      <c r="B37" s="42"/>
      <c r="C37" s="38"/>
    </row>
    <row r="38" spans="1:3" ht="12.75">
      <c r="A38" s="24" t="s">
        <v>33</v>
      </c>
      <c r="B38" s="11" t="s">
        <v>34</v>
      </c>
      <c r="C38" s="25">
        <v>5000</v>
      </c>
    </row>
    <row r="39" spans="1:3" ht="12.75">
      <c r="A39" s="39"/>
      <c r="B39" s="11" t="s">
        <v>45</v>
      </c>
      <c r="C39" s="55">
        <f>3800-1200</f>
        <v>2600</v>
      </c>
    </row>
    <row r="40" spans="1:3" ht="13.5" thickBot="1">
      <c r="A40" s="43"/>
      <c r="B40" s="44"/>
      <c r="C40" s="45"/>
    </row>
    <row r="41" spans="1:3" ht="13.5" thickTop="1">
      <c r="A41" s="35" t="s">
        <v>35</v>
      </c>
      <c r="B41" s="36"/>
      <c r="C41" s="37"/>
    </row>
    <row r="42" spans="1:3" ht="12.75">
      <c r="A42" s="30"/>
      <c r="B42" s="31" t="s">
        <v>47</v>
      </c>
      <c r="C42" s="25">
        <v>4920</v>
      </c>
    </row>
    <row r="43" spans="1:3" ht="13.5" thickBot="1">
      <c r="A43" s="27"/>
      <c r="B43" s="28" t="s">
        <v>36</v>
      </c>
      <c r="C43" s="29">
        <f>Mortgage!G74</f>
        <v>33471.75000000001</v>
      </c>
    </row>
    <row r="44" ht="13.5" thickTop="1"/>
    <row r="49" s="80" customFormat="1" ht="13.5" thickBot="1"/>
    <row r="50" spans="1:9" ht="12.75">
      <c r="A50" s="67" t="s">
        <v>74</v>
      </c>
      <c r="B50" s="68"/>
      <c r="C50" s="68"/>
      <c r="D50" s="68"/>
      <c r="E50" s="68"/>
      <c r="F50" s="68"/>
      <c r="G50" s="68"/>
      <c r="H50" s="68"/>
      <c r="I50" s="69"/>
    </row>
    <row r="51" spans="1:15" ht="12.75">
      <c r="A51" s="70"/>
      <c r="B51" s="10" t="s">
        <v>59</v>
      </c>
      <c r="C51" s="71" t="s">
        <v>65</v>
      </c>
      <c r="D51" s="72"/>
      <c r="E51" s="73"/>
      <c r="F51" s="73"/>
      <c r="G51" s="10"/>
      <c r="H51" s="10"/>
      <c r="I51" s="74"/>
      <c r="K51" s="65"/>
      <c r="L51" s="65"/>
      <c r="M51" s="65"/>
      <c r="N51" s="65"/>
      <c r="O51" s="65"/>
    </row>
    <row r="52" spans="1:15" ht="12.75">
      <c r="A52" s="70"/>
      <c r="B52" s="10" t="s">
        <v>39</v>
      </c>
      <c r="C52" s="71" t="s">
        <v>72</v>
      </c>
      <c r="D52" s="72"/>
      <c r="E52" s="73"/>
      <c r="F52" s="10"/>
      <c r="G52" s="10"/>
      <c r="H52" s="10"/>
      <c r="I52" s="74"/>
      <c r="K52" s="65"/>
      <c r="L52" s="65"/>
      <c r="M52" s="65"/>
      <c r="N52" s="65"/>
      <c r="O52" s="65"/>
    </row>
    <row r="53" spans="1:15" ht="12.75">
      <c r="A53" s="70"/>
      <c r="B53" s="10"/>
      <c r="C53" s="71" t="s">
        <v>71</v>
      </c>
      <c r="D53" s="72"/>
      <c r="E53" s="73"/>
      <c r="F53" s="10"/>
      <c r="G53" s="10"/>
      <c r="H53" s="10"/>
      <c r="I53" s="74"/>
      <c r="K53" s="65"/>
      <c r="L53" s="65"/>
      <c r="M53" s="65"/>
      <c r="N53" s="65"/>
      <c r="O53" s="65"/>
    </row>
    <row r="54" spans="1:15" ht="12.75">
      <c r="A54" s="70"/>
      <c r="B54" s="10" t="s">
        <v>61</v>
      </c>
      <c r="C54" s="71" t="s">
        <v>68</v>
      </c>
      <c r="D54" s="72"/>
      <c r="E54" s="10"/>
      <c r="F54" s="10"/>
      <c r="G54" s="10"/>
      <c r="H54" s="10"/>
      <c r="I54" s="74"/>
      <c r="K54" s="65"/>
      <c r="L54" s="65"/>
      <c r="M54" s="65"/>
      <c r="N54" s="65"/>
      <c r="O54" s="65"/>
    </row>
    <row r="55" spans="1:15" ht="12.75">
      <c r="A55" s="70"/>
      <c r="B55" s="10" t="s">
        <v>60</v>
      </c>
      <c r="C55" s="71" t="s">
        <v>66</v>
      </c>
      <c r="D55" s="72"/>
      <c r="E55" s="73"/>
      <c r="F55" s="10"/>
      <c r="G55" s="10"/>
      <c r="H55" s="10"/>
      <c r="I55" s="74"/>
      <c r="K55" s="65"/>
      <c r="L55" s="65"/>
      <c r="M55" s="65"/>
      <c r="N55" s="65"/>
      <c r="O55" s="65"/>
    </row>
    <row r="56" spans="1:15" ht="12.75">
      <c r="A56" s="70"/>
      <c r="B56" s="10" t="s">
        <v>62</v>
      </c>
      <c r="C56" s="71" t="s">
        <v>66</v>
      </c>
      <c r="D56" s="72"/>
      <c r="E56" s="73"/>
      <c r="F56" s="10"/>
      <c r="G56" s="10"/>
      <c r="H56" s="10"/>
      <c r="I56" s="74"/>
      <c r="K56" s="65"/>
      <c r="L56" s="65"/>
      <c r="M56" s="65"/>
      <c r="N56" s="65"/>
      <c r="O56" s="65"/>
    </row>
    <row r="57" spans="1:9" ht="12.75">
      <c r="A57" s="70"/>
      <c r="B57" s="73">
        <v>4722</v>
      </c>
      <c r="C57" s="75" t="s">
        <v>69</v>
      </c>
      <c r="D57" s="72"/>
      <c r="E57" s="10"/>
      <c r="F57" s="10"/>
      <c r="G57" s="10"/>
      <c r="H57" s="10"/>
      <c r="I57" s="74"/>
    </row>
    <row r="58" spans="1:9" ht="12.75">
      <c r="A58" s="70"/>
      <c r="B58" s="10" t="s">
        <v>37</v>
      </c>
      <c r="C58" s="76" t="s">
        <v>67</v>
      </c>
      <c r="D58" s="10"/>
      <c r="E58" s="10"/>
      <c r="F58" s="10"/>
      <c r="G58" s="10"/>
      <c r="H58" s="10"/>
      <c r="I58" s="74"/>
    </row>
    <row r="59" spans="1:9" ht="7.5" customHeight="1">
      <c r="A59" s="70"/>
      <c r="B59" s="10"/>
      <c r="C59" s="10"/>
      <c r="D59" s="10"/>
      <c r="E59" s="10"/>
      <c r="F59" s="10"/>
      <c r="G59" s="10"/>
      <c r="H59" s="10"/>
      <c r="I59" s="74"/>
    </row>
    <row r="60" spans="1:9" ht="12.75">
      <c r="A60" s="70"/>
      <c r="B60" s="10" t="s">
        <v>34</v>
      </c>
      <c r="C60" s="71" t="s">
        <v>66</v>
      </c>
      <c r="D60" s="10"/>
      <c r="E60" s="10"/>
      <c r="F60" s="10"/>
      <c r="G60" s="10"/>
      <c r="H60" s="10"/>
      <c r="I60" s="74"/>
    </row>
    <row r="61" spans="1:9" ht="12.75">
      <c r="A61" s="70"/>
      <c r="B61" s="10" t="s">
        <v>63</v>
      </c>
      <c r="C61" s="71" t="s">
        <v>66</v>
      </c>
      <c r="D61" s="10"/>
      <c r="E61" s="10"/>
      <c r="F61" s="10"/>
      <c r="G61" s="10"/>
      <c r="H61" s="10"/>
      <c r="I61" s="74"/>
    </row>
    <row r="62" spans="1:9" ht="7.5" customHeight="1">
      <c r="A62" s="70"/>
      <c r="B62" s="10"/>
      <c r="C62" s="10"/>
      <c r="D62" s="10"/>
      <c r="E62" s="10"/>
      <c r="F62" s="10"/>
      <c r="G62" s="10"/>
      <c r="H62" s="10"/>
      <c r="I62" s="74"/>
    </row>
    <row r="63" spans="1:9" ht="13.5" thickBot="1">
      <c r="A63" s="77"/>
      <c r="B63" s="78" t="s">
        <v>64</v>
      </c>
      <c r="C63" s="78" t="s">
        <v>70</v>
      </c>
      <c r="D63" s="78"/>
      <c r="E63" s="78"/>
      <c r="F63" s="78"/>
      <c r="G63" s="78"/>
      <c r="H63" s="78"/>
      <c r="I63" s="79"/>
    </row>
  </sheetData>
  <printOptions/>
  <pageMargins left="0.58" right="0.5" top="0.5" bottom="1" header="0.5" footer="0.5"/>
  <pageSetup fitToHeight="1" fitToWidth="1"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C78" sqref="C78"/>
    </sheetView>
  </sheetViews>
  <sheetFormatPr defaultColWidth="9.140625" defaultRowHeight="12.75"/>
  <cols>
    <col min="2" max="2" width="9.28125" style="1" bestFit="1" customWidth="1"/>
    <col min="3" max="3" width="10.28125" style="1" bestFit="1" customWidth="1"/>
    <col min="4" max="4" width="1.7109375" style="0" customWidth="1"/>
    <col min="6" max="6" width="1.57421875" style="0" customWidth="1"/>
    <col min="7" max="7" width="11.28125" style="0" bestFit="1" customWidth="1"/>
  </cols>
  <sheetData>
    <row r="1" ht="12.75">
      <c r="A1" t="s">
        <v>23</v>
      </c>
    </row>
    <row r="4" spans="1:7" ht="12.75">
      <c r="A4" t="s">
        <v>24</v>
      </c>
      <c r="B4" s="1" t="s">
        <v>25</v>
      </c>
      <c r="C4" s="1" t="s">
        <v>7</v>
      </c>
      <c r="E4" t="s">
        <v>26</v>
      </c>
      <c r="G4" t="s">
        <v>27</v>
      </c>
    </row>
    <row r="5" spans="1:7" ht="12.75" hidden="1">
      <c r="A5" t="s">
        <v>28</v>
      </c>
      <c r="G5">
        <v>40799.63</v>
      </c>
    </row>
    <row r="6" spans="1:7" ht="12.75" hidden="1">
      <c r="A6" s="3">
        <v>36525</v>
      </c>
      <c r="B6" s="1">
        <f>G5-G6</f>
        <v>512.5599999999977</v>
      </c>
      <c r="C6" s="1">
        <f>E6-B6</f>
        <v>1116.2600000000025</v>
      </c>
      <c r="E6">
        <f>3*542.94</f>
        <v>1628.8200000000002</v>
      </c>
      <c r="G6">
        <v>40287.07</v>
      </c>
    </row>
    <row r="7" ht="4.5" customHeight="1" hidden="1">
      <c r="A7" s="3"/>
    </row>
    <row r="8" spans="1:7" ht="12.75" hidden="1">
      <c r="A8" s="3">
        <v>36527</v>
      </c>
      <c r="B8" s="1">
        <v>168.45</v>
      </c>
      <c r="C8" s="1">
        <v>374.49</v>
      </c>
      <c r="E8">
        <f>SUM(B8:C8)</f>
        <v>542.94</v>
      </c>
      <c r="G8">
        <f>G6-B8</f>
        <v>40118.62</v>
      </c>
    </row>
    <row r="9" spans="1:7" ht="12.75" hidden="1">
      <c r="A9" s="3">
        <v>36557</v>
      </c>
      <c r="B9" s="1">
        <v>170.05</v>
      </c>
      <c r="C9" s="1">
        <v>372.89</v>
      </c>
      <c r="E9">
        <f>SUM(B9:C9)</f>
        <v>542.94</v>
      </c>
      <c r="G9">
        <f>G8-B9</f>
        <v>39948.57</v>
      </c>
    </row>
    <row r="10" spans="1:7" ht="12.75" hidden="1">
      <c r="A10" s="3">
        <v>36586</v>
      </c>
      <c r="B10" s="1">
        <v>195.54</v>
      </c>
      <c r="C10" s="1">
        <v>347.4</v>
      </c>
      <c r="E10">
        <f>SUM(B10:C10)</f>
        <v>542.9399999999999</v>
      </c>
      <c r="G10">
        <f>G9-B10</f>
        <v>39753.03</v>
      </c>
    </row>
    <row r="11" ht="3.75" customHeight="1" hidden="1"/>
    <row r="12" spans="1:7" ht="12.75" hidden="1">
      <c r="A12" s="3">
        <v>36616</v>
      </c>
      <c r="B12" s="1">
        <f>SUM(B8:B10)</f>
        <v>534.04</v>
      </c>
      <c r="C12" s="1">
        <f>SUM(C8:C10)</f>
        <v>1094.78</v>
      </c>
      <c r="E12">
        <f>SUM(E8:E10)</f>
        <v>1628.8200000000002</v>
      </c>
      <c r="G12">
        <f>G10</f>
        <v>39753.03</v>
      </c>
    </row>
    <row r="13" ht="3.75" customHeight="1" hidden="1"/>
    <row r="14" spans="1:7" ht="12.75" hidden="1">
      <c r="A14" s="3">
        <v>36618</v>
      </c>
      <c r="B14" s="1">
        <v>173.39</v>
      </c>
      <c r="C14" s="1">
        <v>369.55</v>
      </c>
      <c r="E14">
        <v>542.94</v>
      </c>
      <c r="G14">
        <v>39579.64</v>
      </c>
    </row>
    <row r="15" spans="1:7" ht="12.75" hidden="1">
      <c r="A15" s="3">
        <v>36647</v>
      </c>
      <c r="B15" s="1">
        <v>186.91</v>
      </c>
      <c r="C15" s="1">
        <v>356.03</v>
      </c>
      <c r="E15">
        <f>SUM(B15:C15)</f>
        <v>542.9399999999999</v>
      </c>
      <c r="G15">
        <f>G14-B15</f>
        <v>39392.729999999996</v>
      </c>
    </row>
    <row r="16" spans="1:7" ht="12.75" hidden="1">
      <c r="A16" s="3">
        <v>36678</v>
      </c>
      <c r="B16" s="1">
        <v>0</v>
      </c>
      <c r="C16" s="1">
        <v>0</v>
      </c>
      <c r="E16">
        <v>0</v>
      </c>
      <c r="G16">
        <f>G15</f>
        <v>39392.729999999996</v>
      </c>
    </row>
    <row r="17" ht="3.75" customHeight="1" hidden="1"/>
    <row r="18" spans="1:7" ht="12.75" hidden="1">
      <c r="A18" s="3" t="s">
        <v>44</v>
      </c>
      <c r="B18" s="1">
        <f>SUM(B14:B16)</f>
        <v>360.29999999999995</v>
      </c>
      <c r="C18" s="1">
        <f>SUM(C14:C16)</f>
        <v>725.5799999999999</v>
      </c>
      <c r="E18">
        <f>SUM(E14:E16)</f>
        <v>1085.88</v>
      </c>
      <c r="G18">
        <f>G16</f>
        <v>39392.729999999996</v>
      </c>
    </row>
    <row r="19" ht="3.75" customHeight="1" hidden="1"/>
    <row r="20" spans="1:9" ht="12.75" hidden="1">
      <c r="A20" s="3">
        <v>36732</v>
      </c>
      <c r="B20" s="1">
        <v>365.26</v>
      </c>
      <c r="C20" s="1">
        <v>720.62</v>
      </c>
      <c r="E20">
        <v>1085.88</v>
      </c>
      <c r="G20">
        <f>G18-B20</f>
        <v>39027.469999999994</v>
      </c>
      <c r="H20">
        <v>39195.92</v>
      </c>
      <c r="I20" t="s">
        <v>49</v>
      </c>
    </row>
    <row r="21" spans="1:7" ht="12.75" hidden="1">
      <c r="A21" s="3">
        <v>36739</v>
      </c>
      <c r="B21" s="1">
        <v>176.75</v>
      </c>
      <c r="C21" s="1">
        <v>366.19</v>
      </c>
      <c r="E21">
        <f>SUM(B21:C21)</f>
        <v>542.94</v>
      </c>
      <c r="G21">
        <f>G20-B21</f>
        <v>38850.719999999994</v>
      </c>
    </row>
    <row r="22" spans="1:7" ht="12.75" hidden="1">
      <c r="A22" s="3">
        <v>36789</v>
      </c>
      <c r="B22" s="1">
        <v>189.43</v>
      </c>
      <c r="C22" s="1">
        <v>318.42</v>
      </c>
      <c r="E22">
        <f>SUM(B22:C22)</f>
        <v>507.85</v>
      </c>
      <c r="G22">
        <f>G21-B22</f>
        <v>38661.28999999999</v>
      </c>
    </row>
    <row r="23" ht="3.75" customHeight="1" hidden="1"/>
    <row r="24" spans="1:7" ht="12.75" hidden="1">
      <c r="A24" s="3">
        <v>36799</v>
      </c>
      <c r="B24" s="1">
        <f>SUM(B20:B22)</f>
        <v>731.44</v>
      </c>
      <c r="C24" s="1">
        <f>SUM(C20:C22)</f>
        <v>1405.23</v>
      </c>
      <c r="E24">
        <f>SUM(E20:E22)</f>
        <v>2136.67</v>
      </c>
      <c r="G24">
        <f>G22</f>
        <v>38661.28999999999</v>
      </c>
    </row>
    <row r="25" ht="12.75" hidden="1">
      <c r="A25" s="3"/>
    </row>
    <row r="26" ht="12.75" hidden="1"/>
    <row r="27" spans="1:7" ht="12.75" hidden="1">
      <c r="A27" s="3">
        <v>36800</v>
      </c>
      <c r="B27" s="1">
        <v>200.19</v>
      </c>
      <c r="C27" s="1">
        <v>307.66</v>
      </c>
      <c r="D27" s="1"/>
      <c r="E27" s="1">
        <f aca="true" t="shared" si="0" ref="E27:E33">SUM(B27:C27)</f>
        <v>507.85</v>
      </c>
      <c r="F27" s="1"/>
      <c r="G27" s="1">
        <f>G24-B27</f>
        <v>38461.09999999999</v>
      </c>
    </row>
    <row r="28" spans="1:7" ht="12.75" hidden="1">
      <c r="A28" s="3">
        <v>36831</v>
      </c>
      <c r="B28" s="1">
        <v>192.29</v>
      </c>
      <c r="C28" s="1">
        <v>315.56</v>
      </c>
      <c r="D28" s="1"/>
      <c r="E28" s="1">
        <f t="shared" si="0"/>
        <v>507.85</v>
      </c>
      <c r="F28" s="1"/>
      <c r="G28" s="1">
        <f>G27-B28</f>
        <v>38268.80999999999</v>
      </c>
    </row>
    <row r="29" spans="1:7" ht="12.75" hidden="1">
      <c r="A29" s="3">
        <v>36861</v>
      </c>
      <c r="B29" s="1">
        <v>203.89</v>
      </c>
      <c r="C29" s="1">
        <v>303.96</v>
      </c>
      <c r="D29" s="1"/>
      <c r="E29" s="1">
        <f t="shared" si="0"/>
        <v>507.84999999999997</v>
      </c>
      <c r="F29" s="1"/>
      <c r="G29" s="1">
        <f>G28-B29</f>
        <v>38064.91999999999</v>
      </c>
    </row>
    <row r="30" spans="1:7" ht="3" customHeight="1" hidden="1">
      <c r="A30" s="3"/>
      <c r="D30" s="1"/>
      <c r="E30" s="1"/>
      <c r="F30" s="1"/>
      <c r="G30" s="1"/>
    </row>
    <row r="31" spans="1:7" ht="12.75" hidden="1">
      <c r="A31" s="3">
        <v>36891</v>
      </c>
      <c r="B31" s="1">
        <f>SUM(B27:B29)</f>
        <v>596.37</v>
      </c>
      <c r="C31" s="1">
        <f>SUM(C27:C29)</f>
        <v>927.1800000000001</v>
      </c>
      <c r="D31" s="1"/>
      <c r="E31">
        <f>SUM(E27:E29)</f>
        <v>1523.55</v>
      </c>
      <c r="F31" s="1"/>
      <c r="G31" s="1">
        <f>G29</f>
        <v>38064.91999999999</v>
      </c>
    </row>
    <row r="32" spans="1:7" ht="3" customHeight="1" hidden="1">
      <c r="A32" s="3"/>
      <c r="D32" s="1"/>
      <c r="E32" s="1"/>
      <c r="F32" s="1"/>
      <c r="G32" s="1"/>
    </row>
    <row r="33" spans="1:7" ht="12.75" hidden="1">
      <c r="A33" s="3">
        <v>36892</v>
      </c>
      <c r="B33" s="1">
        <v>195.43</v>
      </c>
      <c r="C33" s="1">
        <v>312.42</v>
      </c>
      <c r="D33" s="1"/>
      <c r="E33" s="1">
        <f t="shared" si="0"/>
        <v>507.85</v>
      </c>
      <c r="F33" s="1"/>
      <c r="G33" s="1">
        <f>G29-B33</f>
        <v>37869.48999999999</v>
      </c>
    </row>
    <row r="34" spans="1:7" ht="12.75" hidden="1">
      <c r="A34" s="3">
        <v>36923</v>
      </c>
      <c r="B34" s="1">
        <v>197.18</v>
      </c>
      <c r="C34" s="1">
        <v>310.67</v>
      </c>
      <c r="D34" s="1"/>
      <c r="E34" s="1">
        <f>SUM(B34:C34)</f>
        <v>507.85</v>
      </c>
      <c r="F34" s="1"/>
      <c r="G34" s="1">
        <f>G33-B34</f>
        <v>37672.30999999999</v>
      </c>
    </row>
    <row r="35" spans="1:7" ht="12.75" hidden="1">
      <c r="A35" s="3">
        <v>36951</v>
      </c>
      <c r="B35" s="1">
        <v>228.56</v>
      </c>
      <c r="C35" s="1">
        <v>279.29</v>
      </c>
      <c r="D35" s="1"/>
      <c r="E35" s="1">
        <f>SUM(B35:C35)</f>
        <v>507.85</v>
      </c>
      <c r="G35" s="1">
        <f>G34-B35</f>
        <v>37443.74999999999</v>
      </c>
    </row>
    <row r="36" spans="1:7" ht="3" customHeight="1" hidden="1">
      <c r="A36" s="3"/>
      <c r="D36" s="1"/>
      <c r="E36" s="1"/>
      <c r="F36" s="1"/>
      <c r="G36" s="1"/>
    </row>
    <row r="37" spans="1:7" ht="12.75" hidden="1">
      <c r="A37" s="3">
        <v>36981</v>
      </c>
      <c r="B37" s="1">
        <f>SUM(B33:B35)</f>
        <v>621.1700000000001</v>
      </c>
      <c r="C37" s="1">
        <f>SUM(C33:C35)</f>
        <v>902.3800000000001</v>
      </c>
      <c r="D37" s="1"/>
      <c r="E37">
        <f>SUM(E33:E35)</f>
        <v>1523.5500000000002</v>
      </c>
      <c r="F37" s="1"/>
      <c r="G37" s="1">
        <f>G35</f>
        <v>37443.74999999999</v>
      </c>
    </row>
    <row r="38" spans="1:7" ht="3" customHeight="1" hidden="1">
      <c r="A38" s="3"/>
      <c r="D38" s="1"/>
      <c r="E38" s="1"/>
      <c r="F38" s="1"/>
      <c r="G38" s="1"/>
    </row>
    <row r="39" spans="1:7" ht="12.75" hidden="1">
      <c r="A39" s="3">
        <v>36982</v>
      </c>
      <c r="B39" s="1">
        <v>200.51</v>
      </c>
      <c r="C39" s="1">
        <v>307.34</v>
      </c>
      <c r="D39" s="1"/>
      <c r="E39" s="1">
        <f>SUM(B39:C39)</f>
        <v>507.84999999999997</v>
      </c>
      <c r="F39" s="1"/>
      <c r="G39" s="1">
        <f>G35-B39</f>
        <v>37243.23999999999</v>
      </c>
    </row>
    <row r="40" spans="1:7" ht="12.75" hidden="1">
      <c r="A40" s="3">
        <v>37012</v>
      </c>
      <c r="B40" s="1">
        <v>212.12</v>
      </c>
      <c r="C40" s="1">
        <v>295.73</v>
      </c>
      <c r="E40" s="1">
        <f>SUM(B40:C40)</f>
        <v>507.85</v>
      </c>
      <c r="G40" s="1">
        <f>G39-B40</f>
        <v>37031.11999999999</v>
      </c>
    </row>
    <row r="41" spans="1:7" ht="12.75" hidden="1">
      <c r="A41" s="3">
        <v>37043</v>
      </c>
      <c r="B41" s="1">
        <v>203.88</v>
      </c>
      <c r="C41" s="1">
        <v>303.97</v>
      </c>
      <c r="E41" s="1">
        <f>SUM(B41:C41)</f>
        <v>507.85</v>
      </c>
      <c r="G41" s="1">
        <f>G40-B41</f>
        <v>36827.23999999999</v>
      </c>
    </row>
    <row r="42" spans="1:7" ht="3" customHeight="1" hidden="1">
      <c r="A42" s="3"/>
      <c r="D42" s="1"/>
      <c r="E42" s="1"/>
      <c r="F42" s="1"/>
      <c r="G42" s="1"/>
    </row>
    <row r="43" spans="1:7" ht="12.75" hidden="1">
      <c r="A43" s="3" t="s">
        <v>55</v>
      </c>
      <c r="B43" s="1">
        <f>SUM(B39:B41)</f>
        <v>616.51</v>
      </c>
      <c r="C43" s="1">
        <f>SUM(C39:C41)</f>
        <v>907.04</v>
      </c>
      <c r="D43" s="1"/>
      <c r="E43">
        <f>SUM(E39:E41)</f>
        <v>1523.5500000000002</v>
      </c>
      <c r="F43" s="1"/>
      <c r="G43" s="1">
        <f>G41</f>
        <v>36827.23999999999</v>
      </c>
    </row>
    <row r="44" spans="1:7" ht="3" customHeight="1" hidden="1">
      <c r="A44" s="3"/>
      <c r="D44" s="1"/>
      <c r="E44" s="1"/>
      <c r="F44" s="1"/>
      <c r="G44" s="1"/>
    </row>
    <row r="45" spans="1:7" ht="12.75" hidden="1">
      <c r="A45" s="3">
        <v>37073</v>
      </c>
      <c r="B45" s="1">
        <v>215.3</v>
      </c>
      <c r="C45" s="1">
        <v>292.55</v>
      </c>
      <c r="D45" s="1"/>
      <c r="E45" s="1">
        <f>SUM(B45:C45)</f>
        <v>507.85</v>
      </c>
      <c r="F45" s="1"/>
      <c r="G45" s="1">
        <f>G41-B45</f>
        <v>36611.93999999999</v>
      </c>
    </row>
    <row r="46" spans="1:7" ht="12.75" hidden="1">
      <c r="A46" s="3">
        <v>37104</v>
      </c>
      <c r="B46" s="1">
        <v>207.43</v>
      </c>
      <c r="C46" s="1">
        <v>300.42</v>
      </c>
      <c r="E46" s="1">
        <f>SUM(B46:C46)</f>
        <v>507.85</v>
      </c>
      <c r="G46" s="1">
        <f>G45-B46</f>
        <v>36404.50999999999</v>
      </c>
    </row>
    <row r="47" spans="1:7" ht="12.75" hidden="1">
      <c r="A47" s="3">
        <v>37135</v>
      </c>
      <c r="B47" s="1">
        <v>203.88</v>
      </c>
      <c r="C47" s="1">
        <v>303.97</v>
      </c>
      <c r="E47" s="1">
        <f>SUM(B47:C47)</f>
        <v>507.85</v>
      </c>
      <c r="G47" s="1">
        <f>G46-B47</f>
        <v>36200.62999999999</v>
      </c>
    </row>
    <row r="48" ht="3.75" customHeight="1" hidden="1"/>
    <row r="49" spans="1:7" ht="12.75" hidden="1">
      <c r="A49" s="3">
        <v>37164</v>
      </c>
      <c r="B49" s="1">
        <f>SUM(B45:B47)</f>
        <v>626.61</v>
      </c>
      <c r="C49" s="1">
        <f>SUM(C45:C47)</f>
        <v>896.94</v>
      </c>
      <c r="D49" s="1"/>
      <c r="E49">
        <f>SUM(E45:E47)</f>
        <v>1523.5500000000002</v>
      </c>
      <c r="F49" s="1"/>
      <c r="G49" s="1">
        <f>G47</f>
        <v>36200.62999999999</v>
      </c>
    </row>
    <row r="52" spans="1:7" ht="12.75">
      <c r="A52" s="3">
        <v>37165</v>
      </c>
      <c r="B52" s="1">
        <v>220.36</v>
      </c>
      <c r="C52" s="1">
        <v>287.49</v>
      </c>
      <c r="D52" s="1"/>
      <c r="E52" s="1">
        <f>SUM(B52:C52)</f>
        <v>507.85</v>
      </c>
      <c r="F52" s="1"/>
      <c r="G52" s="1">
        <f>G49-B52</f>
        <v>35980.26999999999</v>
      </c>
    </row>
    <row r="53" spans="1:10" ht="12.75">
      <c r="A53" s="3">
        <v>37196</v>
      </c>
      <c r="B53" s="56">
        <v>220.36</v>
      </c>
      <c r="C53" s="56">
        <v>287.49</v>
      </c>
      <c r="D53" s="1"/>
      <c r="E53" s="1">
        <f>SUM(B53:C53)</f>
        <v>507.85</v>
      </c>
      <c r="F53" s="1"/>
      <c r="G53" s="1">
        <f>G52-B53</f>
        <v>35759.90999999999</v>
      </c>
      <c r="J53" t="s">
        <v>57</v>
      </c>
    </row>
    <row r="54" spans="1:7" ht="12.75">
      <c r="A54" s="3">
        <v>37226</v>
      </c>
      <c r="B54" s="1">
        <v>223.74</v>
      </c>
      <c r="C54" s="1">
        <v>284.11</v>
      </c>
      <c r="D54" s="1"/>
      <c r="E54" s="1">
        <f>SUM(B54:C54)</f>
        <v>507.85</v>
      </c>
      <c r="F54" s="1"/>
      <c r="G54" s="1">
        <f>G53-B54</f>
        <v>35536.16999999999</v>
      </c>
    </row>
    <row r="55" spans="1:7" ht="3" customHeight="1">
      <c r="A55" s="3"/>
      <c r="D55" s="1"/>
      <c r="E55" s="1"/>
      <c r="F55" s="1"/>
      <c r="G55" s="1"/>
    </row>
    <row r="56" spans="1:7" ht="12.75">
      <c r="A56" s="3">
        <v>37256</v>
      </c>
      <c r="B56" s="1">
        <f>SUM(B52:B54)</f>
        <v>664.46</v>
      </c>
      <c r="C56" s="1">
        <f>SUM(C52:C54)</f>
        <v>859.09</v>
      </c>
      <c r="D56" s="1"/>
      <c r="E56">
        <f>SUM(E52:E54)</f>
        <v>1523.5500000000002</v>
      </c>
      <c r="F56" s="1"/>
      <c r="G56" s="1">
        <f>G54</f>
        <v>35536.16999999999</v>
      </c>
    </row>
    <row r="57" spans="1:7" ht="3" customHeight="1">
      <c r="A57" s="3"/>
      <c r="D57" s="1"/>
      <c r="E57" s="1"/>
      <c r="F57" s="1"/>
      <c r="G57" s="1"/>
    </row>
    <row r="58" spans="1:7" ht="12.75">
      <c r="A58" s="3">
        <v>37257</v>
      </c>
      <c r="B58" s="56">
        <v>223.74</v>
      </c>
      <c r="C58" s="56">
        <v>284.11</v>
      </c>
      <c r="D58" s="1"/>
      <c r="E58" s="1">
        <f>SUM(B58:C58)</f>
        <v>507.85</v>
      </c>
      <c r="F58" s="1"/>
      <c r="G58" s="1">
        <f>G54-B58</f>
        <v>35312.42999999999</v>
      </c>
    </row>
    <row r="59" spans="1:7" ht="12.75">
      <c r="A59" s="3">
        <v>37288</v>
      </c>
      <c r="B59" s="56">
        <v>223.74</v>
      </c>
      <c r="C59" s="56">
        <v>284.11</v>
      </c>
      <c r="D59" s="1"/>
      <c r="E59" s="1">
        <f>SUM(B59:C59)</f>
        <v>507.85</v>
      </c>
      <c r="F59" s="1"/>
      <c r="G59" s="1">
        <f>G58-B59</f>
        <v>35088.689999999995</v>
      </c>
    </row>
    <row r="60" spans="1:7" ht="12.75">
      <c r="A60" s="3">
        <v>37316</v>
      </c>
      <c r="B60" s="57">
        <v>247.54</v>
      </c>
      <c r="C60" s="57">
        <v>260.31</v>
      </c>
      <c r="D60" s="1"/>
      <c r="E60" s="1">
        <f>SUM(B60:C60)</f>
        <v>507.85</v>
      </c>
      <c r="G60" s="1">
        <f>G59-B60</f>
        <v>34841.149999999994</v>
      </c>
    </row>
    <row r="61" spans="1:7" ht="3" customHeight="1">
      <c r="A61" s="3"/>
      <c r="D61" s="1"/>
      <c r="E61" s="1"/>
      <c r="F61" s="1"/>
      <c r="G61" s="1"/>
    </row>
    <row r="62" spans="1:7" ht="12.75">
      <c r="A62" s="3">
        <v>37346</v>
      </c>
      <c r="B62" s="1">
        <f>SUM(B58:B60)</f>
        <v>695.02</v>
      </c>
      <c r="C62" s="1">
        <f>SUM(C58:C60)</f>
        <v>828.53</v>
      </c>
      <c r="D62" s="1"/>
      <c r="E62">
        <f>SUM(E58:E60)</f>
        <v>1523.5500000000002</v>
      </c>
      <c r="F62" s="1"/>
      <c r="G62" s="1">
        <f>G60</f>
        <v>34841.149999999994</v>
      </c>
    </row>
    <row r="63" spans="1:7" ht="3" customHeight="1">
      <c r="A63" s="3"/>
      <c r="D63" s="1"/>
      <c r="E63" s="1"/>
      <c r="F63" s="1"/>
      <c r="G63" s="1"/>
    </row>
    <row r="64" spans="1:7" ht="12.75">
      <c r="A64" s="3">
        <v>37347</v>
      </c>
      <c r="B64" s="56">
        <v>223.74</v>
      </c>
      <c r="C64" s="56">
        <v>284.11</v>
      </c>
      <c r="D64" s="1"/>
      <c r="E64" s="1">
        <f>SUM(B64:C64)</f>
        <v>507.85</v>
      </c>
      <c r="F64" s="1"/>
      <c r="G64" s="1">
        <f>G60-B64</f>
        <v>34617.409999999996</v>
      </c>
    </row>
    <row r="65" spans="1:7" ht="12.75">
      <c r="A65" s="3">
        <v>37377</v>
      </c>
      <c r="B65" s="56">
        <v>223.74</v>
      </c>
      <c r="C65" s="56">
        <v>284.11</v>
      </c>
      <c r="E65" s="1">
        <f>SUM(B65:C65)</f>
        <v>507.85</v>
      </c>
      <c r="G65" s="1">
        <f>G64-B65</f>
        <v>34393.67</v>
      </c>
    </row>
    <row r="66" spans="1:7" ht="12.75">
      <c r="A66" s="3">
        <v>37408</v>
      </c>
      <c r="B66" s="57">
        <v>225.38</v>
      </c>
      <c r="C66" s="57">
        <v>282.47</v>
      </c>
      <c r="E66" s="1">
        <f>SUM(B66:C66)</f>
        <v>507.85</v>
      </c>
      <c r="G66" s="1">
        <f>G65-B66</f>
        <v>34168.29</v>
      </c>
    </row>
    <row r="67" spans="1:7" ht="3" customHeight="1">
      <c r="A67" s="3"/>
      <c r="D67" s="1"/>
      <c r="E67" s="1"/>
      <c r="F67" s="1"/>
      <c r="G67" s="1"/>
    </row>
    <row r="68" spans="1:7" ht="12.75">
      <c r="A68" s="3" t="s">
        <v>56</v>
      </c>
      <c r="B68" s="1">
        <f>SUM(B64:B66)</f>
        <v>672.86</v>
      </c>
      <c r="C68" s="1">
        <f>SUM(C64:C66)</f>
        <v>850.69</v>
      </c>
      <c r="D68" s="1"/>
      <c r="E68">
        <f>SUM(E64:E66)</f>
        <v>1523.5500000000002</v>
      </c>
      <c r="F68" s="1"/>
      <c r="G68" s="1">
        <f>G66</f>
        <v>34168.29</v>
      </c>
    </row>
    <row r="69" spans="1:7" ht="3" customHeight="1">
      <c r="A69" s="3"/>
      <c r="D69" s="1"/>
      <c r="E69" s="1"/>
      <c r="F69" s="1"/>
      <c r="G69" s="1"/>
    </row>
    <row r="70" spans="1:7" ht="12.75">
      <c r="A70" s="3">
        <v>37438</v>
      </c>
      <c r="B70" s="57">
        <v>236.34</v>
      </c>
      <c r="C70" s="57">
        <v>271.51</v>
      </c>
      <c r="D70" s="1"/>
      <c r="E70" s="1">
        <f>SUM(B70:C70)</f>
        <v>507.85</v>
      </c>
      <c r="F70" s="1"/>
      <c r="G70" s="1">
        <f>G66-B70</f>
        <v>33931.950000000004</v>
      </c>
    </row>
    <row r="71" spans="1:7" ht="12.75">
      <c r="A71" s="3">
        <v>37469</v>
      </c>
      <c r="B71" s="1">
        <v>229.17</v>
      </c>
      <c r="C71" s="1">
        <v>278.68</v>
      </c>
      <c r="E71" s="1">
        <f>SUM(B71:C71)</f>
        <v>507.85</v>
      </c>
      <c r="G71" s="1">
        <f>G70-B71</f>
        <v>33702.780000000006</v>
      </c>
    </row>
    <row r="72" spans="1:7" ht="12.75">
      <c r="A72" s="3">
        <v>37500</v>
      </c>
      <c r="B72" s="1">
        <v>231.03</v>
      </c>
      <c r="C72" s="1">
        <v>276.82</v>
      </c>
      <c r="E72" s="1">
        <f>SUM(B72:C72)</f>
        <v>507.85</v>
      </c>
      <c r="G72" s="1">
        <f>G71-B72</f>
        <v>33471.75000000001</v>
      </c>
    </row>
    <row r="73" ht="3.75" customHeight="1"/>
    <row r="74" spans="1:7" ht="12.75">
      <c r="A74" s="3">
        <v>37529</v>
      </c>
      <c r="B74" s="1">
        <f>SUM(B70:B72)</f>
        <v>696.54</v>
      </c>
      <c r="C74" s="1">
        <f>SUM(C70:C72)</f>
        <v>827.01</v>
      </c>
      <c r="D74" s="1"/>
      <c r="E74">
        <f>SUM(E70:E72)</f>
        <v>1523.5500000000002</v>
      </c>
      <c r="F74" s="1"/>
      <c r="G74" s="1">
        <f>G72</f>
        <v>33471.75000000001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P5" sqref="P5"/>
    </sheetView>
  </sheetViews>
  <sheetFormatPr defaultColWidth="9.140625" defaultRowHeight="12.75"/>
  <cols>
    <col min="1" max="1" width="15.28125" style="0" customWidth="1"/>
    <col min="2" max="3" width="9.28125" style="0" hidden="1" customWidth="1"/>
    <col min="4" max="7" width="10.28125" style="0" hidden="1" customWidth="1"/>
    <col min="8" max="10" width="10.28125" style="0" customWidth="1"/>
    <col min="11" max="14" width="10.28125" style="0" bestFit="1" customWidth="1"/>
  </cols>
  <sheetData>
    <row r="2" spans="1:14" ht="12.75">
      <c r="A2" s="4"/>
      <c r="B2" s="5">
        <v>33512</v>
      </c>
      <c r="C2" s="5">
        <v>33878</v>
      </c>
      <c r="D2" s="5">
        <v>34243</v>
      </c>
      <c r="E2" s="5">
        <v>34608</v>
      </c>
      <c r="F2" s="5">
        <v>34973</v>
      </c>
      <c r="G2" s="5">
        <v>35339</v>
      </c>
      <c r="H2" s="5">
        <v>35704</v>
      </c>
      <c r="I2" s="5">
        <v>36069</v>
      </c>
      <c r="J2" s="5">
        <v>36434</v>
      </c>
      <c r="K2" s="5">
        <v>36800</v>
      </c>
      <c r="L2" s="5">
        <v>37165</v>
      </c>
      <c r="M2" s="5">
        <v>37530</v>
      </c>
      <c r="N2" s="5">
        <v>37895</v>
      </c>
    </row>
    <row r="3" spans="1:14" ht="12.75">
      <c r="A3" s="4"/>
      <c r="B3" s="6"/>
      <c r="C3" s="6"/>
      <c r="D3" s="6"/>
      <c r="E3" s="6"/>
      <c r="F3" s="6"/>
      <c r="G3" s="6"/>
      <c r="H3" s="6"/>
      <c r="I3" s="7">
        <v>0.0325</v>
      </c>
      <c r="J3" s="8">
        <f>4000.42/3875.91-1</f>
        <v>0.032124068928329086</v>
      </c>
      <c r="K3" s="8">
        <f>4122.53/4000.42-1</f>
        <v>0.030524294949030306</v>
      </c>
      <c r="L3" s="8">
        <f>4247.99/4122.53-1</f>
        <v>0.03043276822727803</v>
      </c>
      <c r="M3" s="8">
        <f>4352.62/4247.99-1</f>
        <v>0.02463047229395543</v>
      </c>
      <c r="N3" s="8">
        <f>4352.62/4247.99-1</f>
        <v>0.02463047229395543</v>
      </c>
    </row>
    <row r="4" spans="1:14" ht="12.75">
      <c r="A4" s="4" t="s">
        <v>37</v>
      </c>
      <c r="B4" s="1">
        <v>955</v>
      </c>
      <c r="C4" s="1">
        <v>984</v>
      </c>
      <c r="D4" s="1">
        <v>1014</v>
      </c>
      <c r="E4" s="1">
        <v>1044</v>
      </c>
      <c r="F4" s="1">
        <v>1075</v>
      </c>
      <c r="G4" s="1">
        <v>1107</v>
      </c>
      <c r="H4" s="1">
        <v>1146</v>
      </c>
      <c r="I4" s="1">
        <v>1186</v>
      </c>
      <c r="J4" s="2">
        <f aca="true" t="shared" si="0" ref="J4:L5">I4+I4*J$3</f>
        <v>1224.0991457489984</v>
      </c>
      <c r="K4" s="2">
        <f t="shared" si="0"/>
        <v>1261.4639091206968</v>
      </c>
      <c r="L4" s="2">
        <f t="shared" si="0"/>
        <v>1299.8537478940432</v>
      </c>
      <c r="M4" s="2">
        <f aca="true" t="shared" si="1" ref="M4:N6">L4+L4*M$3</f>
        <v>1331.8697596177415</v>
      </c>
      <c r="N4" s="2">
        <f t="shared" si="1"/>
        <v>1364.6743408311634</v>
      </c>
    </row>
    <row r="5" spans="1:14" ht="12.75">
      <c r="A5" s="4" t="s">
        <v>38</v>
      </c>
      <c r="B5" s="1"/>
      <c r="C5" s="1"/>
      <c r="D5" s="1"/>
      <c r="E5" s="1">
        <v>1002</v>
      </c>
      <c r="F5" s="1">
        <v>1032</v>
      </c>
      <c r="G5" s="1">
        <v>1063</v>
      </c>
      <c r="H5" s="1">
        <v>1101</v>
      </c>
      <c r="I5" s="1">
        <v>1140</v>
      </c>
      <c r="J5" s="2">
        <f t="shared" si="0"/>
        <v>1176.621438578295</v>
      </c>
      <c r="K5" s="2">
        <f t="shared" si="0"/>
        <v>1212.5369784128113</v>
      </c>
      <c r="L5" s="2">
        <f t="shared" si="0"/>
        <v>1249.4378352438525</v>
      </c>
      <c r="M5" s="2">
        <f t="shared" si="1"/>
        <v>1280.2120792278458</v>
      </c>
      <c r="N5" s="2">
        <f t="shared" si="1"/>
        <v>1311.7443073756544</v>
      </c>
    </row>
    <row r="6" spans="1:14" ht="12.75">
      <c r="A6" s="4" t="s">
        <v>39</v>
      </c>
      <c r="B6" s="1"/>
      <c r="C6" s="1"/>
      <c r="D6" s="1"/>
      <c r="E6" s="1"/>
      <c r="F6" s="1"/>
      <c r="G6" s="1"/>
      <c r="H6" s="1"/>
      <c r="I6" s="1"/>
      <c r="J6" s="2">
        <v>1032.12</v>
      </c>
      <c r="K6" s="2">
        <f>J6+J6*K$3</f>
        <v>1063.624735302793</v>
      </c>
      <c r="L6" s="2">
        <f>K6+K6*L$3</f>
        <v>1095.9937803530627</v>
      </c>
      <c r="M6" s="2">
        <f t="shared" si="1"/>
        <v>1122.9886247943962</v>
      </c>
      <c r="N6" s="2">
        <f t="shared" si="1"/>
        <v>1150.6483650038217</v>
      </c>
    </row>
    <row r="7" ht="3.75" customHeight="1"/>
    <row r="8" spans="1:14" ht="12.75">
      <c r="A8" s="9" t="s">
        <v>40</v>
      </c>
      <c r="H8" s="1">
        <v>2460</v>
      </c>
      <c r="I8" s="1">
        <v>2460</v>
      </c>
      <c r="J8" s="1">
        <v>2460</v>
      </c>
      <c r="K8" s="1">
        <v>2460</v>
      </c>
      <c r="L8" s="1">
        <v>2460</v>
      </c>
      <c r="M8" s="1">
        <v>2460</v>
      </c>
      <c r="N8" s="1">
        <f>M8</f>
        <v>2460</v>
      </c>
    </row>
    <row r="9" ht="3.75" customHeight="1"/>
    <row r="10" spans="1:14" ht="12.75">
      <c r="A10" t="s">
        <v>41</v>
      </c>
      <c r="H10" s="2"/>
      <c r="I10" s="2">
        <f aca="true" t="shared" si="2" ref="I10:N10">SUM(I4:I8)</f>
        <v>4786</v>
      </c>
      <c r="J10" s="2">
        <f t="shared" si="2"/>
        <v>5892.840584327293</v>
      </c>
      <c r="K10" s="2">
        <f t="shared" si="2"/>
        <v>5997.625622836301</v>
      </c>
      <c r="L10" s="2">
        <f t="shared" si="2"/>
        <v>6105.285363490959</v>
      </c>
      <c r="M10" s="2">
        <f t="shared" si="2"/>
        <v>6195.070463639983</v>
      </c>
      <c r="N10" s="2">
        <f t="shared" si="2"/>
        <v>6287.06701321064</v>
      </c>
    </row>
    <row r="11" spans="1:14" ht="12.75">
      <c r="A11" t="s">
        <v>42</v>
      </c>
      <c r="J11" s="2">
        <f>J10-I10-1000</f>
        <v>106.84058432729307</v>
      </c>
      <c r="K11" s="2">
        <f>K10-J10</f>
        <v>104.78503850900779</v>
      </c>
      <c r="L11" s="2">
        <f>L10-K10</f>
        <v>107.65974065465798</v>
      </c>
      <c r="M11" s="2">
        <f>M10-L10</f>
        <v>89.7851001490244</v>
      </c>
      <c r="N11" s="2">
        <f>N10-M10</f>
        <v>91.9965495706565</v>
      </c>
    </row>
    <row r="13" ht="12.75">
      <c r="J13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3"/>
  <sheetViews>
    <sheetView workbookViewId="0" topLeftCell="A1">
      <selection activeCell="A4" sqref="A4:B6"/>
    </sheetView>
  </sheetViews>
  <sheetFormatPr defaultColWidth="9.140625" defaultRowHeight="12.75"/>
  <cols>
    <col min="2" max="2" width="11.8515625" style="1" bestFit="1" customWidth="1"/>
  </cols>
  <sheetData>
    <row r="3" spans="1:2" ht="12.75">
      <c r="A3" t="s">
        <v>50</v>
      </c>
      <c r="B3" s="1" t="s">
        <v>51</v>
      </c>
    </row>
    <row r="4" spans="1:2" ht="12.75">
      <c r="A4">
        <v>1998</v>
      </c>
      <c r="B4" s="1">
        <v>18883</v>
      </c>
    </row>
    <row r="5" spans="1:2" ht="12.75">
      <c r="A5">
        <v>1999</v>
      </c>
      <c r="B5" s="1">
        <v>-11397.36</v>
      </c>
    </row>
    <row r="6" spans="1:2" ht="12.75">
      <c r="A6">
        <v>2000</v>
      </c>
      <c r="B6" s="1">
        <v>-5796.48</v>
      </c>
    </row>
    <row r="7" spans="1:2" ht="12.75">
      <c r="A7">
        <v>2001</v>
      </c>
      <c r="B7" s="1">
        <v>-9386.289740654662</v>
      </c>
    </row>
    <row r="8" spans="1:2" ht="12.75">
      <c r="A8">
        <v>2002</v>
      </c>
      <c r="B8">
        <v>11050.88</v>
      </c>
    </row>
    <row r="10" ht="12.75">
      <c r="B10" s="1">
        <f>SUM(B5:B8)</f>
        <v>-15529.249740654663</v>
      </c>
    </row>
    <row r="12" ht="12.75">
      <c r="B12" s="1">
        <f>B13*3</f>
        <v>21600</v>
      </c>
    </row>
    <row r="13" ht="12.75">
      <c r="B13" s="1">
        <f>100*6*12</f>
        <v>7200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Pyne</dc:creator>
  <cp:keywords/>
  <dc:description/>
  <cp:lastModifiedBy>Pamela Nelson</cp:lastModifiedBy>
  <cp:lastPrinted>2002-10-22T19:48:22Z</cp:lastPrinted>
  <dcterms:created xsi:type="dcterms:W3CDTF">2000-04-13T00:36:07Z</dcterms:created>
  <dcterms:modified xsi:type="dcterms:W3CDTF">2001-10-13T22:29:26Z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